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84" yWindow="84" windowWidth="13380" windowHeight="9264"/>
  </bookViews>
  <sheets>
    <sheet name="CD_CB_J" sheetId="3" r:id="rId1"/>
  </sheets>
  <calcPr calcId="125725"/>
</workbook>
</file>

<file path=xl/calcChain.xml><?xml version="1.0" encoding="utf-8"?>
<calcChain xmlns="http://schemas.openxmlformats.org/spreadsheetml/2006/main">
  <c r="AC12" i="3"/>
  <c r="AC13"/>
  <c r="AC17"/>
  <c r="AC18"/>
  <c r="AC19"/>
  <c r="AC20"/>
  <c r="AC21"/>
  <c r="AB5"/>
  <c r="AB6" s="1"/>
  <c r="AB7" s="1"/>
  <c r="AB8" s="1"/>
  <c r="AB9" s="1"/>
  <c r="AB10" s="1"/>
  <c r="AB11" s="1"/>
  <c r="AB12" s="1"/>
  <c r="AB13" s="1"/>
  <c r="AB14" s="1"/>
  <c r="AB15" s="1"/>
  <c r="AB16" s="1"/>
  <c r="AB17" s="1"/>
  <c r="AB18" s="1"/>
  <c r="AB19" s="1"/>
  <c r="AB20" s="1"/>
  <c r="AB21" s="1"/>
  <c r="AB4"/>
  <c r="L13"/>
  <c r="F7"/>
  <c r="H7" s="1"/>
  <c r="I7" s="1"/>
  <c r="K7" s="1"/>
  <c r="T7" s="1"/>
  <c r="AB22" s="1"/>
  <c r="AC22" s="1"/>
  <c r="Q7"/>
  <c r="F13"/>
  <c r="H13" s="1"/>
  <c r="I13" s="1"/>
  <c r="K13" s="1"/>
  <c r="F14"/>
  <c r="H14" s="1"/>
  <c r="I14" s="1"/>
  <c r="K14" s="1"/>
  <c r="AC14" l="1"/>
  <c r="AC15"/>
  <c r="AC16"/>
  <c r="G14"/>
  <c r="R7"/>
  <c r="AB3" s="1"/>
  <c r="G13"/>
  <c r="U7"/>
  <c r="V7" s="1"/>
  <c r="G7"/>
  <c r="J7" s="1"/>
  <c r="AC3" l="1"/>
  <c r="J13"/>
  <c r="W7"/>
  <c r="AC4" l="1"/>
  <c r="AC5" l="1"/>
  <c r="AC6" l="1"/>
  <c r="AC7" l="1"/>
  <c r="AC8" l="1"/>
  <c r="AC9" l="1"/>
  <c r="AC11" l="1"/>
  <c r="AC24" s="1"/>
  <c r="X7" s="1"/>
  <c r="AC10"/>
  <c r="Y7" l="1"/>
  <c r="Z7"/>
</calcChain>
</file>

<file path=xl/comments1.xml><?xml version="1.0" encoding="utf-8"?>
<comments xmlns="http://schemas.openxmlformats.org/spreadsheetml/2006/main">
  <authors>
    <author>Autore</author>
  </authors>
  <commentList>
    <comment ref="C6" authorId="0">
      <text>
        <r>
          <rPr>
            <b/>
            <sz val="9"/>
            <color indexed="81"/>
            <rFont val="Tahoma"/>
            <charset val="1"/>
          </rPr>
          <t xml:space="preserve">Pressione atmosferica in mbar
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 xml:space="preserve">Umidità relativa
</t>
        </r>
      </text>
    </comment>
    <comment ref="E6" authorId="0">
      <text>
        <r>
          <rPr>
            <b/>
            <sz val="9"/>
            <color indexed="81"/>
            <rFont val="Tahoma"/>
            <charset val="1"/>
          </rPr>
          <t xml:space="preserve">Temperatura esterna
</t>
        </r>
      </text>
    </comment>
    <comment ref="G6" authorId="0">
      <text>
        <r>
          <rPr>
            <b/>
            <sz val="9"/>
            <color indexed="81"/>
            <rFont val="Tahoma"/>
            <charset val="1"/>
          </rPr>
          <t xml:space="preserve">Densità aria Kg/mc
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 xml:space="preserve">Correzione  x ICAO
</t>
        </r>
      </text>
    </comment>
    <comment ref="K6" authorId="0">
      <text>
        <r>
          <rPr>
            <b/>
            <sz val="9"/>
            <color indexed="81"/>
            <rFont val="Tahoma"/>
            <charset val="1"/>
          </rPr>
          <t>Velocità del suono</t>
        </r>
      </text>
    </comment>
    <comment ref="L6" authorId="0">
      <text>
        <r>
          <rPr>
            <b/>
            <sz val="9"/>
            <color indexed="81"/>
            <rFont val="Tahoma"/>
            <charset val="1"/>
          </rPr>
          <t xml:space="preserve">Distanza tra le rilevazioni di velocità 0 e 2
</t>
        </r>
      </text>
    </comment>
    <comment ref="M6" authorId="0">
      <text>
        <r>
          <rPr>
            <b/>
            <sz val="9"/>
            <color indexed="81"/>
            <rFont val="Tahoma"/>
            <charset val="1"/>
          </rPr>
          <t xml:space="preserve">Calibro proiettile in mm
</t>
        </r>
      </text>
    </comment>
    <comment ref="N6" authorId="0">
      <text>
        <r>
          <rPr>
            <b/>
            <sz val="9"/>
            <color indexed="81"/>
            <rFont val="Tahoma"/>
            <charset val="1"/>
          </rPr>
          <t xml:space="preserve">Peso proiettile in grani
</t>
        </r>
      </text>
    </comment>
    <comment ref="O6" authorId="0">
      <text>
        <r>
          <rPr>
            <b/>
            <sz val="9"/>
            <color indexed="81"/>
            <rFont val="Tahoma"/>
            <charset val="1"/>
          </rPr>
          <t>Velocità al cronografo_1 (postazione di tiro)</t>
        </r>
      </text>
    </comment>
    <comment ref="P6" authorId="0">
      <text>
        <r>
          <rPr>
            <b/>
            <sz val="9"/>
            <color indexed="81"/>
            <rFont val="Tahoma"/>
            <charset val="1"/>
          </rPr>
          <t xml:space="preserve">Distanza cronografo_1
(postazione di tiro)
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 xml:space="preserve">Velocità alla volata
</t>
        </r>
      </text>
    </comment>
    <comment ref="R6" authorId="0">
      <text>
        <r>
          <rPr>
            <b/>
            <sz val="9"/>
            <color indexed="81"/>
            <rFont val="Tahoma"/>
            <family val="2"/>
          </rPr>
          <t xml:space="preserve">Velocità alla volata in Mach (min 1,2 ; max 3,5)
</t>
        </r>
      </text>
    </comment>
    <comment ref="S6" authorId="0">
      <text>
        <r>
          <rPr>
            <b/>
            <sz val="9"/>
            <color indexed="81"/>
            <rFont val="Tahoma"/>
            <charset val="1"/>
          </rPr>
          <t>Velocità cronografo_2
(bersaglio)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 xml:space="preserve">Velocità al bersaglio in Mach (min 1,2 ; max 3,5)
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 xml:space="preserve">Velocità media
</t>
        </r>
      </text>
    </comment>
    <comment ref="V6" authorId="0">
      <text>
        <r>
          <rPr>
            <b/>
            <sz val="9"/>
            <color indexed="81"/>
            <rFont val="Tahoma"/>
            <family val="2"/>
          </rPr>
          <t>Velocità media in Mach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 xml:space="preserve">Coefficiente di resistenza aerodinamica
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 xml:space="preserve">Coefficiente di resistenza aerodinamica proiettile G7
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 xml:space="preserve">Fattore di forma
</t>
        </r>
      </text>
    </comment>
    <comment ref="Z6" authorId="0">
      <text>
        <r>
          <rPr>
            <b/>
            <sz val="9"/>
            <color indexed="81"/>
            <rFont val="Tahoma"/>
            <family val="2"/>
          </rPr>
          <t xml:space="preserve">Coefficiente balistico G7
</t>
        </r>
      </text>
    </comment>
    <comment ref="C12" authorId="0">
      <text>
        <r>
          <rPr>
            <b/>
            <sz val="9"/>
            <color indexed="81"/>
            <rFont val="Tahoma"/>
            <charset val="1"/>
          </rPr>
          <t xml:space="preserve">Pressione atmosferica in mbar
</t>
        </r>
      </text>
    </comment>
    <comment ref="D12" authorId="0">
      <text>
        <r>
          <rPr>
            <b/>
            <sz val="9"/>
            <color indexed="81"/>
            <rFont val="Tahoma"/>
            <charset val="1"/>
          </rPr>
          <t xml:space="preserve">Umidità relativa
</t>
        </r>
      </text>
    </comment>
    <comment ref="E12" authorId="0">
      <text>
        <r>
          <rPr>
            <b/>
            <sz val="9"/>
            <color indexed="81"/>
            <rFont val="Tahoma"/>
            <charset val="1"/>
          </rPr>
          <t xml:space="preserve">Temperatura esterna
</t>
        </r>
      </text>
    </comment>
    <comment ref="G12" authorId="0">
      <text>
        <r>
          <rPr>
            <b/>
            <sz val="9"/>
            <color indexed="81"/>
            <rFont val="Tahoma"/>
            <charset val="1"/>
          </rPr>
          <t xml:space="preserve">Densità aria Kg/mc
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Rapporto di impedenza: Met.1/Met.2</t>
        </r>
      </text>
    </comment>
    <comment ref="K12" authorId="0">
      <text>
        <r>
          <rPr>
            <b/>
            <sz val="9"/>
            <color indexed="81"/>
            <rFont val="Tahoma"/>
            <charset val="1"/>
          </rPr>
          <t xml:space="preserve">Velocità del suono
</t>
        </r>
      </text>
    </comment>
    <comment ref="L12" authorId="0">
      <text>
        <r>
          <rPr>
            <b/>
            <sz val="9"/>
            <color indexed="81"/>
            <rFont val="Tahoma"/>
            <family val="2"/>
          </rPr>
          <t xml:space="preserve">conversione CB
</t>
        </r>
      </text>
    </comment>
    <comment ref="B13" authorId="0">
      <text>
        <r>
          <rPr>
            <b/>
            <sz val="9"/>
            <color indexed="81"/>
            <rFont val="Tahoma"/>
            <charset val="1"/>
          </rPr>
          <t>Condizione meteo a cui normalizzare o condizione std.</t>
        </r>
      </text>
    </comment>
    <comment ref="B14" authorId="0">
      <text>
        <r>
          <rPr>
            <b/>
            <sz val="9"/>
            <color indexed="81"/>
            <rFont val="Tahoma"/>
            <charset val="1"/>
          </rPr>
          <t>Condizione meteo di origine</t>
        </r>
      </text>
    </comment>
  </commentList>
</comments>
</file>

<file path=xl/sharedStrings.xml><?xml version="1.0" encoding="utf-8"?>
<sst xmlns="http://schemas.openxmlformats.org/spreadsheetml/2006/main" count="46" uniqueCount="37">
  <si>
    <t>P (mbar)</t>
  </si>
  <si>
    <t>U.R. (%)</t>
  </si>
  <si>
    <t>T (°C)</t>
  </si>
  <si>
    <t>ρ (Kg/mc)</t>
  </si>
  <si>
    <t>L (m)</t>
  </si>
  <si>
    <t>cal (mm)</t>
  </si>
  <si>
    <t>m (gr)</t>
  </si>
  <si>
    <t>V1</t>
  </si>
  <si>
    <t>DCrono (m)</t>
  </si>
  <si>
    <t>V0 (m/s)</t>
  </si>
  <si>
    <t>V0 (Ma)</t>
  </si>
  <si>
    <t>V2 (m/s)</t>
  </si>
  <si>
    <t>V2 (Ma)</t>
  </si>
  <si>
    <t>Vm (m/s)</t>
  </si>
  <si>
    <t>Vm (Ma)</t>
  </si>
  <si>
    <t>CD</t>
  </si>
  <si>
    <t>CDref</t>
  </si>
  <si>
    <r>
      <t>G7 (lb/in</t>
    </r>
    <r>
      <rPr>
        <b/>
        <vertAlign val="superscript"/>
        <sz val="11"/>
        <color rgb="FF0070C0"/>
        <rFont val="Calibri"/>
        <family val="2"/>
        <scheme val="minor"/>
      </rPr>
      <t>2</t>
    </r>
    <r>
      <rPr>
        <b/>
        <sz val="11"/>
        <color rgb="FF0070C0"/>
        <rFont val="Calibri"/>
        <family val="2"/>
        <scheme val="minor"/>
      </rPr>
      <t>)</t>
    </r>
  </si>
  <si>
    <t>Corr. ICAO</t>
  </si>
  <si>
    <t xml:space="preserve">  Calcolo CD e CB dal decremento di velocità (std. ICAO)</t>
  </si>
  <si>
    <t>i7</t>
  </si>
  <si>
    <t>Psat (mbar)</t>
  </si>
  <si>
    <t>Pvap (mbar)</t>
  </si>
  <si>
    <t>Vs (m/s)</t>
  </si>
  <si>
    <t>Tvirt (°K)</t>
  </si>
  <si>
    <t>J</t>
  </si>
  <si>
    <t>Conv.</t>
  </si>
  <si>
    <r>
      <t>CB</t>
    </r>
    <r>
      <rPr>
        <b/>
        <vertAlign val="subscript"/>
        <sz val="11"/>
        <color rgb="FF0070C0"/>
        <rFont val="Calibri"/>
        <family val="2"/>
      </rPr>
      <t>m1</t>
    </r>
  </si>
  <si>
    <r>
      <t>CB</t>
    </r>
    <r>
      <rPr>
        <b/>
        <vertAlign val="subscript"/>
        <sz val="11"/>
        <color rgb="FF0070C0"/>
        <rFont val="Calibri"/>
        <family val="2"/>
      </rPr>
      <t>m2</t>
    </r>
  </si>
  <si>
    <t>Cond. meteo1</t>
  </si>
  <si>
    <t>Cond. meteo2</t>
  </si>
  <si>
    <r>
      <t xml:space="preserve">  Conversione CB da meteo1 a meteo2 (CB</t>
    </r>
    <r>
      <rPr>
        <vertAlign val="subscript"/>
        <sz val="16"/>
        <color theme="1"/>
        <rFont val="Calibri"/>
        <family val="2"/>
        <scheme val="minor"/>
      </rPr>
      <t>m2</t>
    </r>
    <r>
      <rPr>
        <sz val="16"/>
        <color theme="1"/>
        <rFont val="Calibri"/>
        <family val="2"/>
        <scheme val="minor"/>
      </rPr>
      <t>=CB</t>
    </r>
    <r>
      <rPr>
        <vertAlign val="subscript"/>
        <sz val="16"/>
        <color theme="1"/>
        <rFont val="Calibri"/>
        <family val="2"/>
        <scheme val="minor"/>
      </rPr>
      <t>m1</t>
    </r>
    <r>
      <rPr>
        <sz val="16"/>
        <color theme="1"/>
        <rFont val="Calibri"/>
        <family val="2"/>
        <scheme val="minor"/>
      </rPr>
      <t xml:space="preserve"> / J)</t>
    </r>
  </si>
  <si>
    <t>V (Ma)</t>
  </si>
  <si>
    <t>media:</t>
  </si>
  <si>
    <t>Matrice CDref</t>
  </si>
  <si>
    <t>colore delle celle per l'inserimento dati</t>
  </si>
  <si>
    <t>ArmieStrumenti.com  17/05/2019 - Rev_3.3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</si>
</sst>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name val="Arial"/>
      <family val="2"/>
    </font>
    <font>
      <b/>
      <sz val="11"/>
      <color rgb="FF00B05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0070C0"/>
      <name val="Arial"/>
      <family val="2"/>
    </font>
    <font>
      <b/>
      <sz val="11"/>
      <color rgb="FF0070C0"/>
      <name val="Calibri"/>
      <family val="2"/>
    </font>
    <font>
      <b/>
      <vertAlign val="superscript"/>
      <sz val="11"/>
      <color rgb="FF0070C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1"/>
      <color theme="0" tint="-0.499984740745262"/>
      <name val="Calibri"/>
      <family val="2"/>
    </font>
    <font>
      <vertAlign val="subscript"/>
      <sz val="16"/>
      <color theme="1"/>
      <name val="Calibri"/>
      <family val="2"/>
      <scheme val="minor"/>
    </font>
    <font>
      <b/>
      <vertAlign val="subscript"/>
      <sz val="11"/>
      <color rgb="FF0070C0"/>
      <name val="Calibri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3" borderId="1" xfId="0" applyFont="1" applyFill="1" applyBorder="1" applyAlignment="1" applyProtection="1">
      <alignment horizontal="center" vertical="center"/>
      <protection locked="0"/>
    </xf>
    <xf numFmtId="164" fontId="5" fillId="2" borderId="1" xfId="0" applyNumberFormat="1" applyFont="1" applyFill="1" applyBorder="1" applyAlignment="1" applyProtection="1">
      <alignment horizontal="center" vertical="center"/>
    </xf>
    <xf numFmtId="164" fontId="12" fillId="0" borderId="1" xfId="0" applyNumberFormat="1" applyFont="1" applyBorder="1" applyAlignment="1" applyProtection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vertical="center"/>
    </xf>
    <xf numFmtId="0" fontId="7" fillId="0" borderId="3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12" fillId="4" borderId="1" xfId="0" applyNumberFormat="1" applyFont="1" applyFill="1" applyBorder="1" applyAlignment="1">
      <alignment horizontal="center" vertical="center"/>
    </xf>
    <xf numFmtId="164" fontId="13" fillId="2" borderId="1" xfId="0" applyNumberFormat="1" applyFont="1" applyFill="1" applyBorder="1" applyAlignment="1" applyProtection="1">
      <alignment horizontal="center" vertical="center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/>
    </xf>
    <xf numFmtId="0" fontId="2" fillId="0" borderId="1" xfId="0" applyFont="1" applyBorder="1"/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</xf>
    <xf numFmtId="0" fontId="0" fillId="5" borderId="1" xfId="0" applyFill="1" applyBorder="1"/>
    <xf numFmtId="0" fontId="1" fillId="5" borderId="1" xfId="0" applyFont="1" applyFill="1" applyBorder="1" applyAlignment="1">
      <alignment horizontal="center"/>
    </xf>
    <xf numFmtId="0" fontId="0" fillId="0" borderId="14" xfId="0" applyBorder="1" applyAlignment="1"/>
    <xf numFmtId="0" fontId="0" fillId="0" borderId="0" xfId="0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2" fontId="0" fillId="0" borderId="1" xfId="0" applyNumberFormat="1" applyBorder="1" applyAlignment="1" applyProtection="1">
      <alignment horizontal="center"/>
      <protection hidden="1"/>
    </xf>
    <xf numFmtId="164" fontId="0" fillId="0" borderId="1" xfId="0" applyNumberFormat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164" fontId="0" fillId="0" borderId="1" xfId="0" applyNumberFormat="1" applyBorder="1" applyProtection="1">
      <protection hidden="1"/>
    </xf>
    <xf numFmtId="0" fontId="18" fillId="3" borderId="1" xfId="0" applyFont="1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 vertical="center"/>
    </xf>
    <xf numFmtId="0" fontId="0" fillId="0" borderId="0" xfId="0"/>
    <xf numFmtId="0" fontId="0" fillId="0" borderId="9" xfId="0" applyBorder="1"/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1" fillId="5" borderId="5" xfId="0" applyFont="1" applyFill="1" applyBorder="1" applyAlignment="1" applyProtection="1">
      <alignment horizontal="left" vertical="center"/>
    </xf>
    <xf numFmtId="0" fontId="0" fillId="0" borderId="10" xfId="0" applyBorder="1"/>
    <xf numFmtId="0" fontId="0" fillId="0" borderId="6" xfId="0" applyBorder="1"/>
    <xf numFmtId="0" fontId="0" fillId="0" borderId="4" xfId="0" applyBorder="1"/>
    <xf numFmtId="0" fontId="0" fillId="0" borderId="11" xfId="0" applyBorder="1"/>
    <xf numFmtId="0" fontId="0" fillId="0" borderId="7" xfId="0" applyBorder="1"/>
    <xf numFmtId="0" fontId="0" fillId="0" borderId="8" xfId="0" applyBorder="1"/>
    <xf numFmtId="0" fontId="0" fillId="5" borderId="1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164" fontId="12" fillId="0" borderId="13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1" fillId="5" borderId="5" xfId="0" applyFont="1" applyFill="1" applyBorder="1" applyAlignment="1">
      <alignment horizontal="left" vertical="center"/>
    </xf>
    <xf numFmtId="0" fontId="0" fillId="5" borderId="5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8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www.armiestrumenti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510540</xdr:colOff>
      <xdr:row>8</xdr:row>
      <xdr:rowOff>104787</xdr:rowOff>
    </xdr:from>
    <xdr:to>
      <xdr:col>23</xdr:col>
      <xdr:colOff>281940</xdr:colOff>
      <xdr:row>13</xdr:row>
      <xdr:rowOff>91235</xdr:rowOff>
    </xdr:to>
    <xdr:pic>
      <xdr:nvPicPr>
        <xdr:cNvPr id="3" name="Picture 21" descr="Armi&amp;Strumenti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00" y="1598307"/>
          <a:ext cx="4777740" cy="91608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4"/>
  <sheetViews>
    <sheetView tabSelected="1" zoomScaleNormal="100" workbookViewId="0">
      <selection activeCell="B18" sqref="B18:D18"/>
    </sheetView>
  </sheetViews>
  <sheetFormatPr defaultRowHeight="14.4"/>
  <cols>
    <col min="1" max="1" width="6.88671875" customWidth="1"/>
    <col min="2" max="2" width="13.109375" bestFit="1" customWidth="1"/>
    <col min="3" max="3" width="11.109375" customWidth="1"/>
    <col min="6" max="6" width="11.21875" customWidth="1"/>
    <col min="7" max="7" width="8.88671875" customWidth="1"/>
    <col min="8" max="8" width="11.109375" customWidth="1"/>
    <col min="9" max="9" width="8.88671875" customWidth="1"/>
    <col min="10" max="10" width="9.77734375" bestFit="1" customWidth="1"/>
    <col min="11" max="11" width="11.5546875" customWidth="1"/>
    <col min="16" max="16" width="10.77734375" bestFit="1" customWidth="1"/>
    <col min="26" max="26" width="9.6640625" bestFit="1" customWidth="1"/>
    <col min="28" max="29" width="8.88671875" style="29" hidden="1" customWidth="1"/>
  </cols>
  <sheetData>
    <row r="1" spans="1:29" ht="14.4" customHeight="1">
      <c r="A1" s="38"/>
      <c r="B1" s="38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38"/>
      <c r="AB1" s="36" t="s">
        <v>34</v>
      </c>
      <c r="AC1" s="37"/>
    </row>
    <row r="2" spans="1:29" ht="14.4" customHeight="1">
      <c r="A2" s="3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38"/>
      <c r="AB2" s="30" t="s">
        <v>32</v>
      </c>
      <c r="AC2" s="30" t="s">
        <v>16</v>
      </c>
    </row>
    <row r="3" spans="1:29" ht="14.4" customHeight="1">
      <c r="A3" s="38"/>
      <c r="B3" s="44" t="s">
        <v>19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6"/>
      <c r="AA3" s="38"/>
      <c r="AB3" s="31">
        <f>R7</f>
        <v>2.8185450708040718</v>
      </c>
      <c r="AC3" s="32">
        <f>0.0097*POWER(AB3,4)-0.1085*POWER(AB3,3)+0.4487*POWER(AB3,2)-0.87*AB3+ 0.9557</f>
        <v>0.25086447255087019</v>
      </c>
    </row>
    <row r="4" spans="1:29" ht="14.4" customHeight="1">
      <c r="A4" s="38"/>
      <c r="B4" s="47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8"/>
      <c r="AA4" s="38"/>
      <c r="AB4" s="31">
        <f t="shared" ref="AB4:AB21" si="0">AB3-($AB$3-$AB$22)/20</f>
        <v>2.773496617347234</v>
      </c>
      <c r="AC4" s="32">
        <f t="shared" ref="AC4:AC21" si="1">0.0097*POWER(AB4,4)-0.1085*POWER(AB4,3)+0.4487*POWER(AB4,2)-0.87*AB4+ 0.9557</f>
        <v>0.25345076617842754</v>
      </c>
    </row>
    <row r="5" spans="1:29" ht="15" customHeight="1">
      <c r="A5" s="38"/>
      <c r="B5" s="49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50"/>
      <c r="AA5" s="38"/>
      <c r="AB5" s="31">
        <f t="shared" si="0"/>
        <v>2.7284481638903961</v>
      </c>
      <c r="AC5" s="32">
        <f t="shared" si="1"/>
        <v>0.25601123589510544</v>
      </c>
    </row>
    <row r="6" spans="1:29" s="6" customFormat="1" ht="16.2" customHeight="1">
      <c r="A6" s="38"/>
      <c r="B6" s="51"/>
      <c r="C6" s="18" t="s">
        <v>0</v>
      </c>
      <c r="D6" s="18" t="s">
        <v>1</v>
      </c>
      <c r="E6" s="18" t="s">
        <v>2</v>
      </c>
      <c r="F6" s="19" t="s">
        <v>21</v>
      </c>
      <c r="G6" s="20" t="s">
        <v>3</v>
      </c>
      <c r="H6" s="21" t="s">
        <v>22</v>
      </c>
      <c r="I6" s="21" t="s">
        <v>24</v>
      </c>
      <c r="J6" s="20" t="s">
        <v>18</v>
      </c>
      <c r="K6" s="20" t="s">
        <v>23</v>
      </c>
      <c r="L6" s="8" t="s">
        <v>4</v>
      </c>
      <c r="M6" s="8" t="s">
        <v>5</v>
      </c>
      <c r="N6" s="8" t="s">
        <v>6</v>
      </c>
      <c r="O6" s="8" t="s">
        <v>7</v>
      </c>
      <c r="P6" s="8" t="s">
        <v>8</v>
      </c>
      <c r="Q6" s="8" t="s">
        <v>9</v>
      </c>
      <c r="R6" s="8" t="s">
        <v>10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20</v>
      </c>
      <c r="Z6" s="8" t="s">
        <v>17</v>
      </c>
      <c r="AA6" s="38"/>
      <c r="AB6" s="31">
        <f t="shared" si="0"/>
        <v>2.6833997104335583</v>
      </c>
      <c r="AC6" s="32">
        <f t="shared" si="1"/>
        <v>0.2585468483384572</v>
      </c>
    </row>
    <row r="7" spans="1:29" s="6" customFormat="1" ht="14.4" customHeight="1">
      <c r="A7" s="38"/>
      <c r="B7" s="52"/>
      <c r="C7" s="1">
        <v>995</v>
      </c>
      <c r="D7" s="1">
        <v>53</v>
      </c>
      <c r="E7" s="1">
        <v>18</v>
      </c>
      <c r="F7" s="16">
        <f>6.1078*10^((7.5*(E7+273.15)-2048.625)/(E7+273.15-35.85))</f>
        <v>20.638325935288179</v>
      </c>
      <c r="G7" s="2">
        <f>(C7*100-D7*F7)/(287.05*(E7+273.15))+(D7*F7)/(461.495*(E7+273.15))</f>
        <v>1.1856057121050008</v>
      </c>
      <c r="H7" s="16">
        <f>D7/100*F7</f>
        <v>10.938312745702735</v>
      </c>
      <c r="I7" s="16">
        <f>(E7+273.15)/(1-0.3785*(H7/C7))</f>
        <v>292.36652428876215</v>
      </c>
      <c r="J7" s="2">
        <f>(G7/1.225)*SQRT(I7/288.15)</f>
        <v>0.97489693444329117</v>
      </c>
      <c r="K7" s="17">
        <f>20.0469*SQRT(I7)</f>
        <v>342.77650503994738</v>
      </c>
      <c r="L7" s="9">
        <v>593</v>
      </c>
      <c r="M7" s="10">
        <v>6.71</v>
      </c>
      <c r="N7" s="9">
        <v>105.3</v>
      </c>
      <c r="O7" s="9">
        <v>965.3</v>
      </c>
      <c r="P7" s="9">
        <v>1.6</v>
      </c>
      <c r="Q7" s="11">
        <f>O7+P7*(O7-S7)/L7</f>
        <v>966.13102866779082</v>
      </c>
      <c r="R7" s="12">
        <f>Q7/K7</f>
        <v>2.8185450708040718</v>
      </c>
      <c r="S7" s="9">
        <v>657.3</v>
      </c>
      <c r="T7" s="12">
        <f>S7/K7</f>
        <v>1.9175760016673191</v>
      </c>
      <c r="U7" s="12">
        <f>(Q7+S7)/2</f>
        <v>811.71551433389538</v>
      </c>
      <c r="V7" s="13">
        <f>U7/K7*SQRT(I7/288.15)</f>
        <v>2.3853236315262678</v>
      </c>
      <c r="W7" s="4">
        <f>1000*N7*0.0648*(POWER(Q7,2)-POWER(S7,2))/(L7*3.14*POWER(M7/2,2)*POWER(U7,2)*G7*J7)</f>
        <v>0.21432956167029787</v>
      </c>
      <c r="X7" s="14">
        <f>AC24</f>
        <v>0.2750991829991401</v>
      </c>
      <c r="Y7" s="15">
        <f>W7/X7</f>
        <v>0.77909923008011195</v>
      </c>
      <c r="Z7" s="3">
        <f>((N7*0.000142857)/(POWER(M7/25.4,2))/(W7/X7))</f>
        <v>0.27666837201931183</v>
      </c>
      <c r="AA7" s="38"/>
      <c r="AB7" s="31">
        <f t="shared" si="0"/>
        <v>2.6383512569767205</v>
      </c>
      <c r="AC7" s="32">
        <f t="shared" si="1"/>
        <v>0.26105952888972639</v>
      </c>
    </row>
    <row r="8" spans="1:29" ht="14.4" customHeight="1">
      <c r="A8" s="3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38"/>
      <c r="AB8" s="31">
        <f t="shared" si="0"/>
        <v>2.5933028035198826</v>
      </c>
      <c r="AC8" s="32">
        <f t="shared" si="1"/>
        <v>0.26355216167385254</v>
      </c>
    </row>
    <row r="9" spans="1:29" ht="14.4" customHeight="1">
      <c r="A9" s="38"/>
      <c r="B9" s="55" t="s">
        <v>31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6"/>
      <c r="N9" s="56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8"/>
      <c r="AA9" s="38"/>
      <c r="AB9" s="31">
        <f t="shared" si="0"/>
        <v>2.5482543500630448</v>
      </c>
      <c r="AC9" s="32">
        <f t="shared" si="1"/>
        <v>0.2660285895594654</v>
      </c>
    </row>
    <row r="10" spans="1:29" ht="14.4" customHeight="1">
      <c r="A10" s="38"/>
      <c r="B10" s="47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8"/>
      <c r="N10" s="59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  <c r="AA10" s="38"/>
      <c r="AB10" s="31">
        <f t="shared" si="0"/>
        <v>2.503205896606207</v>
      </c>
      <c r="AC10" s="32">
        <f t="shared" si="1"/>
        <v>0.26849361415888651</v>
      </c>
    </row>
    <row r="11" spans="1:29" ht="14.4" customHeight="1">
      <c r="A11" s="38"/>
      <c r="B11" s="49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50"/>
      <c r="N11" s="59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1"/>
      <c r="AA11" s="38"/>
      <c r="AB11" s="31">
        <f t="shared" si="0"/>
        <v>2.4581574431493691</v>
      </c>
      <c r="AC11" s="32">
        <f t="shared" si="1"/>
        <v>0.27095299582813226</v>
      </c>
    </row>
    <row r="12" spans="1:29" ht="14.4" customHeight="1">
      <c r="A12" s="38"/>
      <c r="B12" s="26"/>
      <c r="C12" s="18" t="s">
        <v>0</v>
      </c>
      <c r="D12" s="18" t="s">
        <v>1</v>
      </c>
      <c r="E12" s="18" t="s">
        <v>2</v>
      </c>
      <c r="F12" s="19" t="s">
        <v>21</v>
      </c>
      <c r="G12" s="20" t="s">
        <v>3</v>
      </c>
      <c r="H12" s="21" t="s">
        <v>22</v>
      </c>
      <c r="I12" s="21" t="s">
        <v>24</v>
      </c>
      <c r="J12" s="22" t="s">
        <v>25</v>
      </c>
      <c r="K12" s="7" t="s">
        <v>23</v>
      </c>
      <c r="L12" s="25" t="s">
        <v>26</v>
      </c>
      <c r="M12" s="27"/>
      <c r="N12" s="59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1"/>
      <c r="AA12" s="38"/>
      <c r="AB12" s="31">
        <f t="shared" si="0"/>
        <v>2.4131089896925313</v>
      </c>
      <c r="AC12" s="32">
        <f t="shared" si="1"/>
        <v>0.27341345366691017</v>
      </c>
    </row>
    <row r="13" spans="1:29" ht="15.6" customHeight="1">
      <c r="A13" s="38"/>
      <c r="B13" s="23" t="s">
        <v>30</v>
      </c>
      <c r="C13" s="1">
        <v>1013.25</v>
      </c>
      <c r="D13" s="1">
        <v>0</v>
      </c>
      <c r="E13" s="1">
        <v>15</v>
      </c>
      <c r="F13" s="16">
        <f>6.1078*10^((7.5*(E13+273.15)-2048.625)/(E13+273.15-35.85))</f>
        <v>17.052283660771572</v>
      </c>
      <c r="G13" s="2">
        <f>(C13*100-D13*F13)/(287.05*(E13+273.15))+(D13*F13)/(461.495*(E13+273.15))</f>
        <v>1.2250122659906946</v>
      </c>
      <c r="H13" s="16">
        <f>D13/100*F13</f>
        <v>0</v>
      </c>
      <c r="I13" s="16">
        <f>(E13+273.15)/(1-0.3785*(H13/C13))</f>
        <v>288.14999999999998</v>
      </c>
      <c r="J13" s="53">
        <f>((G13/G14)*SQRT(I13/I14))</f>
        <v>1.0318139314707753</v>
      </c>
      <c r="K13" s="17">
        <f>20.0469*SQRT(I13)</f>
        <v>340.29575844788531</v>
      </c>
      <c r="L13" s="15">
        <f>L14/J13</f>
        <v>0.26167508672337342</v>
      </c>
      <c r="M13" s="25" t="s">
        <v>28</v>
      </c>
      <c r="N13" s="59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1"/>
      <c r="AA13" s="38"/>
      <c r="AB13" s="31">
        <f t="shared" si="0"/>
        <v>2.3680605362356935</v>
      </c>
      <c r="AC13" s="32">
        <f t="shared" si="1"/>
        <v>0.27588266551862106</v>
      </c>
    </row>
    <row r="14" spans="1:29" ht="15.6" customHeight="1">
      <c r="A14" s="38"/>
      <c r="B14" s="23" t="s">
        <v>29</v>
      </c>
      <c r="C14" s="1">
        <v>995</v>
      </c>
      <c r="D14" s="1">
        <v>60</v>
      </c>
      <c r="E14" s="1">
        <v>21</v>
      </c>
      <c r="F14" s="16">
        <f>6.1078*10^((7.5*(E14+273.15)-2048.625)/(E14+273.15-35.85))</f>
        <v>24.868002662789873</v>
      </c>
      <c r="G14" s="2">
        <f>(C14*100-D14*F14)/(287.05*(E14+273.15))+(D14*F14)/(461.495*(E14+273.15))</f>
        <v>1.1717309938890981</v>
      </c>
      <c r="H14" s="16">
        <f>D14/100*F14</f>
        <v>14.920801597673924</v>
      </c>
      <c r="I14" s="16">
        <f>(E14+273.15)/(1-0.3785*(H14/C14))</f>
        <v>295.82909723662402</v>
      </c>
      <c r="J14" s="54"/>
      <c r="K14" s="17">
        <f>20.0469*SQRT(I14)</f>
        <v>344.80032626102042</v>
      </c>
      <c r="L14" s="24">
        <v>0.27</v>
      </c>
      <c r="M14" s="25" t="s">
        <v>27</v>
      </c>
      <c r="N14" s="62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4"/>
      <c r="AA14" s="38"/>
      <c r="AB14" s="31">
        <f t="shared" si="0"/>
        <v>2.3230120827788556</v>
      </c>
      <c r="AC14" s="32">
        <f t="shared" si="1"/>
        <v>0.27836926797035688</v>
      </c>
    </row>
    <row r="15" spans="1:29" ht="14.4" customHeight="1">
      <c r="A15" s="38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38"/>
      <c r="AB15" s="31">
        <f t="shared" si="0"/>
        <v>2.2779636293220178</v>
      </c>
      <c r="AC15" s="32">
        <f t="shared" si="1"/>
        <v>0.28088285635290422</v>
      </c>
    </row>
    <row r="16" spans="1:29" ht="14.4" customHeight="1">
      <c r="A16" s="38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38"/>
      <c r="AB16" s="31">
        <f t="shared" si="0"/>
        <v>2.23291517586518</v>
      </c>
      <c r="AC16" s="32">
        <f t="shared" si="1"/>
        <v>0.28343398474074033</v>
      </c>
    </row>
    <row r="17" spans="1:29">
      <c r="A17" s="39" t="s">
        <v>36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1">
        <f t="shared" si="0"/>
        <v>2.1878667224083421</v>
      </c>
      <c r="AC17" s="32">
        <f t="shared" si="1"/>
        <v>0.28603416595203601</v>
      </c>
    </row>
    <row r="18" spans="1:29">
      <c r="B18" s="35" t="s">
        <v>35</v>
      </c>
      <c r="C18" s="35"/>
      <c r="D18" s="35"/>
      <c r="E18" s="5"/>
      <c r="F18" s="5"/>
      <c r="G18" s="5"/>
      <c r="H18" s="5"/>
      <c r="I18" s="5"/>
      <c r="J18" s="5"/>
      <c r="AB18" s="31">
        <f t="shared" si="0"/>
        <v>2.1428182689515043</v>
      </c>
      <c r="AC18" s="32">
        <f t="shared" si="1"/>
        <v>0.28869587154865406</v>
      </c>
    </row>
    <row r="19" spans="1:29">
      <c r="B19" s="5"/>
      <c r="C19" s="5"/>
      <c r="D19" s="5"/>
      <c r="E19" s="5"/>
      <c r="F19" s="5"/>
      <c r="G19" s="5"/>
      <c r="H19" s="5"/>
      <c r="I19" s="5"/>
      <c r="J19" s="5"/>
      <c r="AB19" s="31">
        <f t="shared" si="0"/>
        <v>2.0977698154946665</v>
      </c>
      <c r="AC19" s="32">
        <f t="shared" si="1"/>
        <v>0.29143253183615014</v>
      </c>
    </row>
    <row r="20" spans="1:29">
      <c r="B20" s="5"/>
      <c r="C20" s="5"/>
      <c r="D20" s="5"/>
      <c r="E20" s="5"/>
      <c r="F20" s="5"/>
      <c r="G20" s="5"/>
      <c r="H20" s="5"/>
      <c r="I20" s="5"/>
      <c r="J20" s="5"/>
      <c r="AB20" s="31">
        <f t="shared" si="0"/>
        <v>2.0527213620378286</v>
      </c>
      <c r="AC20" s="32">
        <f t="shared" si="1"/>
        <v>0.29425853586377304</v>
      </c>
    </row>
    <row r="21" spans="1:29">
      <c r="B21" s="5"/>
      <c r="C21" s="5"/>
      <c r="D21" s="5"/>
      <c r="E21" s="5"/>
      <c r="F21" s="5"/>
      <c r="G21" s="5"/>
      <c r="H21" s="5"/>
      <c r="I21" s="5"/>
      <c r="J21" s="5"/>
      <c r="AB21" s="31">
        <f t="shared" si="0"/>
        <v>2.0076729085809908</v>
      </c>
      <c r="AC21" s="32">
        <f t="shared" si="1"/>
        <v>0.29718923142446307</v>
      </c>
    </row>
    <row r="22" spans="1:29">
      <c r="B22" s="5"/>
      <c r="C22" s="5"/>
      <c r="D22" s="5"/>
      <c r="E22" s="5"/>
      <c r="F22" s="5"/>
      <c r="G22" s="5"/>
      <c r="H22" s="5"/>
      <c r="I22" s="5"/>
      <c r="J22" s="5"/>
      <c r="AB22" s="31">
        <f>T7</f>
        <v>1.9175760016673191</v>
      </c>
      <c r="AC22" s="32">
        <f>0.0097*POWER(AB22,4)-0.1085*POWER(AB22,3)+0.4487*POWER(AB22,2)-0.87*AB22+ 0.9557</f>
        <v>0.3034308820352698</v>
      </c>
    </row>
    <row r="23" spans="1:29">
      <c r="AB23" s="33"/>
      <c r="AC23" s="34"/>
    </row>
    <row r="24" spans="1:29">
      <c r="AB24" s="30" t="s">
        <v>33</v>
      </c>
      <c r="AC24" s="32">
        <f>AVERAGE(AC3:AC22)</f>
        <v>0.2750991829991401</v>
      </c>
    </row>
  </sheetData>
  <sheetProtection sheet="1" objects="1" scenarios="1"/>
  <mergeCells count="12">
    <mergeCell ref="B18:D18"/>
    <mergeCell ref="AB1:AC1"/>
    <mergeCell ref="AA1:AA16"/>
    <mergeCell ref="A17:AA17"/>
    <mergeCell ref="B1:Z2"/>
    <mergeCell ref="A1:A16"/>
    <mergeCell ref="B15:Z16"/>
    <mergeCell ref="B3:Z5"/>
    <mergeCell ref="B6:B7"/>
    <mergeCell ref="J13:J14"/>
    <mergeCell ref="B9:M11"/>
    <mergeCell ref="N9:Z1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CD_CB_J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2019-04-28T17:19:02Z</dcterms:created>
  <dcterms:modified xsi:type="dcterms:W3CDTF">2019-05-17T18:09:39Z</dcterms:modified>
</cp:coreProperties>
</file>